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abradley\Downloads\"/>
    </mc:Choice>
  </mc:AlternateContent>
  <xr:revisionPtr revIDLastSave="0" documentId="8_{BB56766C-08DC-4284-BC97-F9D38502F356}" xr6:coauthVersionLast="47" xr6:coauthVersionMax="47" xr10:uidLastSave="{00000000-0000-0000-0000-000000000000}"/>
  <bookViews>
    <workbookView xWindow="-28910" yWindow="870" windowWidth="29020" windowHeight="15700" xr2:uid="{7F3138A2-59B5-4C38-BA3C-23F2B8D63584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1" l="1"/>
  <c r="W32" i="1"/>
  <c r="V32" i="1"/>
  <c r="U32" i="1"/>
  <c r="T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X29" i="1"/>
  <c r="W29" i="1"/>
  <c r="V29" i="1"/>
  <c r="U29" i="1"/>
  <c r="Y28" i="1"/>
  <c r="X28" i="1"/>
  <c r="W28" i="1"/>
  <c r="V28" i="1"/>
  <c r="U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W25" i="1"/>
  <c r="V25" i="1"/>
  <c r="U25" i="1"/>
  <c r="T25" i="1"/>
  <c r="W24" i="1"/>
  <c r="V24" i="1"/>
  <c r="J24" i="1"/>
  <c r="H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W21" i="1"/>
  <c r="V21" i="1"/>
  <c r="U21" i="1"/>
  <c r="W20" i="1"/>
  <c r="V20" i="1"/>
  <c r="U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Y15" i="1"/>
  <c r="AA14" i="1"/>
  <c r="AA32" i="1" s="1"/>
  <c r="Z14" i="1"/>
  <c r="Z32" i="1" s="1"/>
  <c r="Y14" i="1"/>
  <c r="Y32" i="1" s="1"/>
  <c r="AA13" i="1"/>
  <c r="AA31" i="1" s="1"/>
  <c r="Z13" i="1"/>
  <c r="Z31" i="1" s="1"/>
  <c r="Y13" i="1"/>
  <c r="Y31" i="1" s="1"/>
  <c r="AA12" i="1"/>
  <c r="AA30" i="1" s="1"/>
  <c r="Z12" i="1"/>
  <c r="Z30" i="1" s="1"/>
  <c r="Y12" i="1"/>
  <c r="Y30" i="1" s="1"/>
  <c r="AA11" i="1"/>
  <c r="AA29" i="1" s="1"/>
  <c r="Z11" i="1"/>
  <c r="Z29" i="1" s="1"/>
  <c r="Y11" i="1"/>
  <c r="Y29" i="1" s="1"/>
  <c r="AA10" i="1"/>
  <c r="AA28" i="1" s="1"/>
  <c r="Z10" i="1"/>
  <c r="Z28" i="1" s="1"/>
  <c r="Y10" i="1"/>
  <c r="AA8" i="1"/>
  <c r="AA26" i="1" s="1"/>
  <c r="Z8" i="1"/>
  <c r="Z18" i="1" s="1"/>
  <c r="Y8" i="1"/>
  <c r="Y18" i="1" s="1"/>
  <c r="AA7" i="1"/>
  <c r="AA25" i="1" s="1"/>
  <c r="Z7" i="1"/>
  <c r="Z25" i="1" s="1"/>
  <c r="Y7" i="1"/>
  <c r="Y25" i="1" s="1"/>
  <c r="X7" i="1"/>
  <c r="X25" i="1" s="1"/>
  <c r="AA6" i="1"/>
  <c r="Z6" i="1"/>
  <c r="Y6" i="1"/>
  <c r="X6" i="1"/>
  <c r="AA5" i="1"/>
  <c r="AA22" i="1" s="1"/>
  <c r="Z5" i="1"/>
  <c r="Y5" i="1"/>
  <c r="X5" i="1"/>
  <c r="X21" i="1" s="1"/>
  <c r="X23" i="1" l="1"/>
  <c r="X22" i="1"/>
  <c r="AA23" i="1"/>
  <c r="Y26" i="1"/>
  <c r="AA18" i="1"/>
  <c r="Y23" i="1"/>
  <c r="Z22" i="1"/>
  <c r="Z26" i="1"/>
  <c r="AA17" i="1"/>
  <c r="AA24" i="1"/>
  <c r="X16" i="1"/>
  <c r="X18" i="1"/>
  <c r="X20" i="1"/>
  <c r="Y16" i="1"/>
  <c r="Y21" i="1"/>
  <c r="Z16" i="1"/>
  <c r="Y20" i="1"/>
  <c r="Z21" i="1"/>
  <c r="AA16" i="1"/>
  <c r="Z20" i="1"/>
  <c r="AA21" i="1"/>
  <c r="Y17" i="1"/>
  <c r="AA20" i="1"/>
  <c r="Y22" i="1"/>
  <c r="Z17" i="1"/>
  <c r="X24" i="1"/>
  <c r="Y24" i="1"/>
  <c r="Z23" i="1"/>
  <c r="Z24" i="1"/>
</calcChain>
</file>

<file path=xl/sharedStrings.xml><?xml version="1.0" encoding="utf-8"?>
<sst xmlns="http://schemas.openxmlformats.org/spreadsheetml/2006/main" count="29" uniqueCount="29">
  <si>
    <t>Family Medicine Positions Offered and Filled: 25-Year NRMP Data</t>
  </si>
  <si>
    <t>Positions Offered</t>
  </si>
  <si>
    <t>Positions Filled</t>
  </si>
  <si>
    <t>Positions Filled by U.S. MD Senior</t>
  </si>
  <si>
    <t>Positions Filled by U.S. MD Grad</t>
  </si>
  <si>
    <t>Positions Filled by Osteo</t>
  </si>
  <si>
    <t>Positions Filled by U.S. DO Seniors</t>
  </si>
  <si>
    <t>Positions Filled by U.S. DO Grads</t>
  </si>
  <si>
    <t>Positions Filled by U.S. IMG</t>
  </si>
  <si>
    <t>Positions Filled by Non U.S. IMG</t>
  </si>
  <si>
    <t>Postions Filled by Other</t>
  </si>
  <si>
    <t>Positions Unfilled (Pre-SOAP)</t>
  </si>
  <si>
    <t>Fill Rate</t>
  </si>
  <si>
    <t>Fill Rate by U.S. MD Senior</t>
  </si>
  <si>
    <t>Fill Rate by U.S. MD Grad</t>
  </si>
  <si>
    <t>Fill Rate by Osteo</t>
  </si>
  <si>
    <t>Fill Rate by U.S. DO Seniors</t>
  </si>
  <si>
    <t>Fill Rate by U.S. DO Grads</t>
  </si>
  <si>
    <t>Fill Rate by U.S. IMG</t>
  </si>
  <si>
    <t>Fill Rate by Non U.S. IMG</t>
  </si>
  <si>
    <t>Fill Rate by Other</t>
  </si>
  <si>
    <t>Rate of  U.S. MD Senior Matching to Family Medicine</t>
  </si>
  <si>
    <t>Rate of U.S. MD Grad Matching to Family Medicine</t>
  </si>
  <si>
    <t>Rate of Osteo Matching to Family Medicine</t>
  </si>
  <si>
    <t>Rate of U.S. DO Seniors Matching to Family Medicine</t>
  </si>
  <si>
    <t>Rate of U.S. DO Grads Matching to Family Medicine</t>
  </si>
  <si>
    <t>Rate of U.S. IMG Matching to Family Medicine</t>
  </si>
  <si>
    <t>Rate of Non U.S. IMG Matching to Family Medicine</t>
  </si>
  <si>
    <t>Rate of Other Matching to Family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</si>
</sst>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7" fontId="0" fillId="0" borderId="0" xfId="0" applyNumberFormat="1" applyAlignment="1">
      <alignment horizontal="right" vertical="top"/>
    </xf>
    <xf numFmtId="0" fontId="0" fillId="3" borderId="0" xfId="0" applyFill="1" applyAlignment="1">
      <alignment horizontal="right" vertical="top"/>
    </xf>
    <xf numFmtId="0" fontId="0" fillId="0" borderId="1" xfId="0" applyBorder="1" applyAlignment="1">
      <alignment horizontal="right" vertical="top"/>
    </xf>
    <xf numFmtId="37" fontId="0" fillId="0" borderId="1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3" borderId="6" xfId="0" applyFill="1" applyBorder="1" applyAlignment="1">
      <alignment horizontal="right" vertical="top"/>
    </xf>
    <xf numFmtId="37" fontId="0" fillId="0" borderId="6" xfId="0" applyNumberFormat="1" applyBorder="1" applyAlignment="1">
      <alignment horizontal="right" vertical="top"/>
    </xf>
    <xf numFmtId="37" fontId="0" fillId="0" borderId="7" xfId="0" applyNumberFormat="1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iaafp.sharepoint.com/sites/FamilyMedicineMatch-AAFP/Shared%20Documents/Match%202026/2026%20Match%20Analysis/FM_Match_Master2026.xlsx" TargetMode="External"/><Relationship Id="rId1" Type="http://schemas.openxmlformats.org/officeDocument/2006/relationships/externalLinkPath" Target="https://rtiaafp.sharepoint.com/sites/FamilyMedicineMatch-AAFP/Shared%20Documents/Match%202026/2026%20Match%20Analysis/FM_Match_Maste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Totals"/>
      <sheetName val="Data by Specialty"/>
      <sheetName val="FM Categorical Report"/>
      <sheetName val="FM Combined Report"/>
      <sheetName val="Primary Care Report"/>
      <sheetName val="All yrs FM combined data"/>
      <sheetName val="All Yrs FM Combined W Osteo"/>
      <sheetName val="All Yrs FM Combined WO Osteo"/>
      <sheetName val="20 Yr PC Offered and Filled"/>
      <sheetName val="20 yr FM Pos Offered and Filled"/>
      <sheetName val="Saras scratch pad"/>
      <sheetName val="analysis table"/>
      <sheetName val="AOA Match data"/>
    </sheetNames>
    <sheetDataSet>
      <sheetData sheetId="0">
        <row r="39">
          <cell r="E39">
            <v>18108</v>
          </cell>
        </row>
        <row r="40">
          <cell r="E40">
            <v>18435</v>
          </cell>
          <cell r="F40">
            <v>806</v>
          </cell>
          <cell r="G40">
            <v>6327</v>
          </cell>
          <cell r="H40">
            <v>270</v>
          </cell>
          <cell r="I40">
            <v>7</v>
          </cell>
          <cell r="J40">
            <v>3152</v>
          </cell>
          <cell r="K40">
            <v>4356</v>
          </cell>
        </row>
        <row r="41">
          <cell r="E41">
            <v>18486</v>
          </cell>
          <cell r="F41">
            <v>859</v>
          </cell>
          <cell r="G41">
            <v>6666</v>
          </cell>
          <cell r="H41">
            <v>383</v>
          </cell>
          <cell r="I41">
            <v>11</v>
          </cell>
          <cell r="J41">
            <v>3099</v>
          </cell>
          <cell r="K41">
            <v>4571</v>
          </cell>
        </row>
        <row r="42">
          <cell r="E42">
            <v>18498</v>
          </cell>
          <cell r="F42">
            <v>790</v>
          </cell>
          <cell r="G42">
            <v>6812</v>
          </cell>
          <cell r="H42">
            <v>320</v>
          </cell>
          <cell r="I42">
            <v>14</v>
          </cell>
          <cell r="J42">
            <v>3356</v>
          </cell>
          <cell r="K42">
            <v>5032</v>
          </cell>
        </row>
        <row r="43">
          <cell r="E43">
            <v>18465</v>
          </cell>
          <cell r="F43">
            <v>760</v>
          </cell>
          <cell r="G43">
            <v>7412</v>
          </cell>
          <cell r="H43">
            <v>293</v>
          </cell>
          <cell r="I43">
            <v>9</v>
          </cell>
          <cell r="J43">
            <v>3181</v>
          </cell>
          <cell r="K43">
            <v>5864</v>
          </cell>
        </row>
        <row r="44">
          <cell r="E44">
            <v>19044</v>
          </cell>
          <cell r="F44">
            <v>803</v>
          </cell>
          <cell r="G44">
            <v>7773</v>
          </cell>
          <cell r="H44">
            <v>276</v>
          </cell>
          <cell r="I44">
            <v>10</v>
          </cell>
          <cell r="J44">
            <v>3108</v>
          </cell>
          <cell r="K44">
            <v>6653</v>
          </cell>
        </row>
        <row r="45">
          <cell r="E45">
            <v>19567</v>
          </cell>
          <cell r="F45">
            <v>856</v>
          </cell>
          <cell r="G45">
            <v>7928</v>
          </cell>
          <cell r="H45">
            <v>318</v>
          </cell>
          <cell r="I45">
            <v>3</v>
          </cell>
          <cell r="J45">
            <v>2949</v>
          </cell>
          <cell r="K45">
            <v>6733</v>
          </cell>
        </row>
      </sheetData>
      <sheetData sheetId="1"/>
      <sheetData sheetId="2"/>
      <sheetData sheetId="3">
        <row r="117">
          <cell r="C117">
            <v>5107</v>
          </cell>
          <cell r="D117">
            <v>4530</v>
          </cell>
          <cell r="E117">
            <v>1499</v>
          </cell>
        </row>
        <row r="118">
          <cell r="C118">
            <v>5231</v>
          </cell>
          <cell r="D118">
            <v>4595</v>
          </cell>
          <cell r="E118">
            <v>1535</v>
          </cell>
        </row>
      </sheetData>
      <sheetData sheetId="4"/>
      <sheetData sheetId="5">
        <row r="197">
          <cell r="K197">
            <v>68</v>
          </cell>
          <cell r="L197">
            <v>1493</v>
          </cell>
          <cell r="M197">
            <v>44</v>
          </cell>
          <cell r="N197">
            <v>0</v>
          </cell>
          <cell r="O197">
            <v>749</v>
          </cell>
          <cell r="P197">
            <v>706</v>
          </cell>
          <cell r="Q197">
            <v>636</v>
          </cell>
        </row>
        <row r="198">
          <cell r="H198">
            <v>5379</v>
          </cell>
          <cell r="I198">
            <v>4574</v>
          </cell>
          <cell r="J198">
            <v>1519</v>
          </cell>
          <cell r="K198">
            <v>90</v>
          </cell>
          <cell r="L198">
            <v>1486</v>
          </cell>
          <cell r="M198">
            <v>52</v>
          </cell>
          <cell r="N198">
            <v>0</v>
          </cell>
          <cell r="O198">
            <v>626</v>
          </cell>
          <cell r="P198">
            <v>801</v>
          </cell>
          <cell r="Q198">
            <v>805</v>
          </cell>
        </row>
        <row r="199">
          <cell r="H199">
            <v>5512</v>
          </cell>
          <cell r="I199">
            <v>4613</v>
          </cell>
          <cell r="J199">
            <v>1512</v>
          </cell>
          <cell r="K199">
            <v>96</v>
          </cell>
          <cell r="L199">
            <v>1404</v>
          </cell>
          <cell r="M199">
            <v>54</v>
          </cell>
          <cell r="N199">
            <v>0</v>
          </cell>
          <cell r="O199">
            <v>585</v>
          </cell>
          <cell r="P199">
            <v>962</v>
          </cell>
          <cell r="Q199">
            <v>899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0FF2-9032-432F-B62F-2923D2085527}">
  <dimension ref="A1:AA32"/>
  <sheetViews>
    <sheetView tabSelected="1" workbookViewId="0">
      <selection activeCell="C38" sqref="C38"/>
    </sheetView>
  </sheetViews>
  <sheetFormatPr defaultRowHeight="14.45"/>
  <cols>
    <col min="1" max="1" width="44.85546875" bestFit="1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7" ht="28.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8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thickBot="1">
      <c r="A4" s="25"/>
      <c r="B4" s="24">
        <v>2001</v>
      </c>
      <c r="C4" s="24">
        <v>2002</v>
      </c>
      <c r="D4" s="24">
        <v>2003</v>
      </c>
      <c r="E4" s="24">
        <v>2004</v>
      </c>
      <c r="F4" s="24">
        <v>2005</v>
      </c>
      <c r="G4" s="24">
        <v>2006</v>
      </c>
      <c r="H4" s="24">
        <v>2007</v>
      </c>
      <c r="I4" s="24">
        <v>2008</v>
      </c>
      <c r="J4" s="24">
        <v>2009</v>
      </c>
      <c r="K4" s="24">
        <v>2010</v>
      </c>
      <c r="L4" s="24">
        <v>2011</v>
      </c>
      <c r="M4" s="24">
        <v>2012</v>
      </c>
      <c r="N4" s="24">
        <v>2013</v>
      </c>
      <c r="O4" s="24">
        <v>2014</v>
      </c>
      <c r="P4" s="24">
        <v>2015</v>
      </c>
      <c r="Q4" s="24">
        <v>2016</v>
      </c>
      <c r="R4" s="24">
        <v>2017</v>
      </c>
      <c r="S4" s="24">
        <v>2018</v>
      </c>
      <c r="T4" s="24">
        <v>2019</v>
      </c>
      <c r="U4" s="24">
        <v>2020</v>
      </c>
      <c r="V4" s="24">
        <v>2021</v>
      </c>
      <c r="W4" s="24">
        <v>2022</v>
      </c>
      <c r="X4" s="24">
        <v>2023</v>
      </c>
      <c r="Y4" s="24">
        <v>2024</v>
      </c>
      <c r="Z4" s="24">
        <v>2025</v>
      </c>
      <c r="AA4" s="26">
        <v>2026</v>
      </c>
    </row>
    <row r="5" spans="1:27" ht="14.45" customHeight="1">
      <c r="A5" s="27" t="s">
        <v>1</v>
      </c>
      <c r="B5" s="3">
        <v>3096</v>
      </c>
      <c r="C5" s="3">
        <v>2983</v>
      </c>
      <c r="D5" s="3">
        <v>2940</v>
      </c>
      <c r="E5" s="3">
        <v>2884</v>
      </c>
      <c r="F5" s="3">
        <v>2782</v>
      </c>
      <c r="G5" s="3">
        <v>2727</v>
      </c>
      <c r="H5" s="3">
        <v>2623</v>
      </c>
      <c r="I5" s="3">
        <v>2654</v>
      </c>
      <c r="J5" s="3">
        <v>2555</v>
      </c>
      <c r="K5" s="3">
        <v>2630</v>
      </c>
      <c r="L5" s="3">
        <v>2730</v>
      </c>
      <c r="M5" s="3">
        <v>2764</v>
      </c>
      <c r="N5" s="3">
        <v>3062</v>
      </c>
      <c r="O5" s="3">
        <v>3132</v>
      </c>
      <c r="P5" s="3">
        <v>3216</v>
      </c>
      <c r="Q5" s="3">
        <v>3260</v>
      </c>
      <c r="R5" s="3">
        <v>3378</v>
      </c>
      <c r="S5" s="3">
        <v>3654</v>
      </c>
      <c r="T5" s="3">
        <v>4128</v>
      </c>
      <c r="U5" s="3">
        <v>4685</v>
      </c>
      <c r="V5" s="3">
        <v>4844</v>
      </c>
      <c r="W5" s="3">
        <v>4935</v>
      </c>
      <c r="X5" s="3">
        <f>'[1]FM Combined Report'!C117</f>
        <v>5107</v>
      </c>
      <c r="Y5" s="3">
        <f>'[1]FM Combined Report'!C118</f>
        <v>5231</v>
      </c>
      <c r="Z5" s="3">
        <f>'[1]All yrs FM combined data'!$H198</f>
        <v>5379</v>
      </c>
      <c r="AA5" s="20">
        <f>'[1]All yrs FM combined data'!$H199</f>
        <v>5512</v>
      </c>
    </row>
    <row r="6" spans="1:27" ht="14.45" customHeight="1">
      <c r="A6" s="28" t="s">
        <v>2</v>
      </c>
      <c r="B6" s="3">
        <v>2363</v>
      </c>
      <c r="C6" s="3">
        <v>2357</v>
      </c>
      <c r="D6" s="3">
        <v>2239</v>
      </c>
      <c r="E6" s="3">
        <v>2273</v>
      </c>
      <c r="F6" s="3">
        <v>2292</v>
      </c>
      <c r="G6" s="3">
        <v>2318</v>
      </c>
      <c r="H6" s="3">
        <v>2313</v>
      </c>
      <c r="I6" s="3">
        <v>2404</v>
      </c>
      <c r="J6" s="3">
        <v>2329</v>
      </c>
      <c r="K6" s="3">
        <v>2404</v>
      </c>
      <c r="L6" s="3">
        <v>2576</v>
      </c>
      <c r="M6" s="3">
        <v>2611</v>
      </c>
      <c r="N6" s="3">
        <v>2938</v>
      </c>
      <c r="O6" s="3">
        <v>3000</v>
      </c>
      <c r="P6" s="3">
        <v>3060</v>
      </c>
      <c r="Q6" s="3">
        <v>3105</v>
      </c>
      <c r="R6" s="3">
        <v>3237</v>
      </c>
      <c r="S6" s="3">
        <v>3535</v>
      </c>
      <c r="T6" s="3">
        <v>3848</v>
      </c>
      <c r="U6" s="3">
        <v>4335</v>
      </c>
      <c r="V6" s="3">
        <v>4493</v>
      </c>
      <c r="W6" s="3">
        <v>4470</v>
      </c>
      <c r="X6" s="3">
        <f>'[1]FM Combined Report'!D117</f>
        <v>4530</v>
      </c>
      <c r="Y6" s="3">
        <f>'[1]FM Combined Report'!D118</f>
        <v>4595</v>
      </c>
      <c r="Z6" s="3">
        <f>'[1]All yrs FM combined data'!$I198</f>
        <v>4574</v>
      </c>
      <c r="AA6" s="20">
        <f>'[1]All yrs FM combined data'!$I199</f>
        <v>4613</v>
      </c>
    </row>
    <row r="7" spans="1:27" ht="14.45" customHeight="1">
      <c r="A7" s="28" t="s">
        <v>3</v>
      </c>
      <c r="B7" s="3">
        <v>1516</v>
      </c>
      <c r="C7" s="3">
        <v>1413</v>
      </c>
      <c r="D7" s="3">
        <v>1234</v>
      </c>
      <c r="E7" s="3">
        <v>1198</v>
      </c>
      <c r="F7" s="3">
        <v>1132</v>
      </c>
      <c r="G7" s="3">
        <v>1132</v>
      </c>
      <c r="H7" s="3">
        <v>1107</v>
      </c>
      <c r="I7" s="3">
        <v>1172</v>
      </c>
      <c r="J7" s="3">
        <v>1083</v>
      </c>
      <c r="K7" s="3">
        <v>1184</v>
      </c>
      <c r="L7" s="3">
        <v>1317</v>
      </c>
      <c r="M7" s="3">
        <v>1335</v>
      </c>
      <c r="N7" s="3">
        <v>1374</v>
      </c>
      <c r="O7" s="3">
        <v>1416</v>
      </c>
      <c r="P7" s="3">
        <v>1422</v>
      </c>
      <c r="Q7" s="3">
        <v>1481</v>
      </c>
      <c r="R7" s="3">
        <v>1530</v>
      </c>
      <c r="S7" s="3">
        <v>1648</v>
      </c>
      <c r="T7" s="3">
        <v>1617</v>
      </c>
      <c r="U7" s="3">
        <v>1557</v>
      </c>
      <c r="V7" s="3">
        <v>1623</v>
      </c>
      <c r="W7" s="3">
        <v>1555</v>
      </c>
      <c r="X7" s="3">
        <f>'[1]FM Combined Report'!E117</f>
        <v>1499</v>
      </c>
      <c r="Y7" s="3">
        <f>'[1]FM Combined Report'!E118</f>
        <v>1535</v>
      </c>
      <c r="Z7" s="3">
        <f>'[1]All yrs FM combined data'!$J198</f>
        <v>1519</v>
      </c>
      <c r="AA7" s="20">
        <f>'[1]All yrs FM combined data'!$J199</f>
        <v>1512</v>
      </c>
    </row>
    <row r="8" spans="1:27" ht="14.45" customHeight="1">
      <c r="A8" s="28" t="s">
        <v>4</v>
      </c>
      <c r="B8" s="3">
        <v>73</v>
      </c>
      <c r="C8" s="3">
        <v>59</v>
      </c>
      <c r="D8" s="3">
        <v>56</v>
      </c>
      <c r="E8" s="3">
        <v>55</v>
      </c>
      <c r="F8" s="3">
        <v>60</v>
      </c>
      <c r="G8" s="3">
        <v>68</v>
      </c>
      <c r="H8" s="3">
        <v>87</v>
      </c>
      <c r="I8" s="3">
        <v>69</v>
      </c>
      <c r="J8" s="3">
        <v>81</v>
      </c>
      <c r="K8" s="3">
        <v>85</v>
      </c>
      <c r="L8" s="3">
        <v>90</v>
      </c>
      <c r="M8" s="3">
        <v>79</v>
      </c>
      <c r="N8" s="3">
        <v>103</v>
      </c>
      <c r="O8" s="3">
        <v>124</v>
      </c>
      <c r="P8" s="3">
        <v>139</v>
      </c>
      <c r="Q8" s="3">
        <v>127</v>
      </c>
      <c r="R8" s="3">
        <v>132</v>
      </c>
      <c r="S8" s="3">
        <v>121</v>
      </c>
      <c r="T8" s="3">
        <v>126</v>
      </c>
      <c r="U8" s="3">
        <v>120</v>
      </c>
      <c r="V8" s="3">
        <v>125</v>
      </c>
      <c r="W8" s="3">
        <v>87</v>
      </c>
      <c r="X8" s="3">
        <v>91</v>
      </c>
      <c r="Y8" s="4">
        <f>'[1]All yrs FM combined data'!K197</f>
        <v>68</v>
      </c>
      <c r="Z8" s="4">
        <f>'[1]All yrs FM combined data'!$K198</f>
        <v>90</v>
      </c>
      <c r="AA8" s="20">
        <f>'[1]All yrs FM combined data'!$K199</f>
        <v>96</v>
      </c>
    </row>
    <row r="9" spans="1:27" ht="14.45" customHeight="1">
      <c r="A9" s="28" t="s">
        <v>5</v>
      </c>
      <c r="B9" s="3">
        <v>241</v>
      </c>
      <c r="C9" s="3">
        <v>266</v>
      </c>
      <c r="D9" s="3">
        <v>232</v>
      </c>
      <c r="E9" s="3">
        <v>271</v>
      </c>
      <c r="F9" s="3">
        <v>242</v>
      </c>
      <c r="G9" s="3">
        <v>223</v>
      </c>
      <c r="H9" s="3">
        <v>228</v>
      </c>
      <c r="I9" s="3">
        <v>265</v>
      </c>
      <c r="J9" s="3">
        <v>246</v>
      </c>
      <c r="K9" s="3">
        <v>274</v>
      </c>
      <c r="L9" s="3">
        <v>294</v>
      </c>
      <c r="M9" s="3">
        <v>325</v>
      </c>
      <c r="N9" s="3">
        <v>381</v>
      </c>
      <c r="O9" s="3">
        <v>397</v>
      </c>
      <c r="P9" s="3">
        <v>447</v>
      </c>
      <c r="Q9" s="3">
        <v>385</v>
      </c>
      <c r="R9" s="3">
        <v>576</v>
      </c>
      <c r="S9" s="3">
        <v>701</v>
      </c>
      <c r="T9" s="3">
        <v>989</v>
      </c>
      <c r="U9" s="5"/>
      <c r="V9" s="5"/>
      <c r="W9" s="5"/>
      <c r="X9" s="5"/>
      <c r="Y9" s="5"/>
      <c r="Z9" s="5"/>
      <c r="AA9" s="21"/>
    </row>
    <row r="10" spans="1:27" ht="14.45" customHeight="1">
      <c r="A10" s="28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3">
        <v>1399</v>
      </c>
      <c r="V10" s="3">
        <v>1443</v>
      </c>
      <c r="W10" s="3">
        <v>1496</v>
      </c>
      <c r="X10" s="3">
        <v>1514</v>
      </c>
      <c r="Y10" s="4">
        <f>'[1]All yrs FM combined data'!L197</f>
        <v>1493</v>
      </c>
      <c r="Z10" s="4">
        <f>'[1]All yrs FM combined data'!$L198</f>
        <v>1486</v>
      </c>
      <c r="AA10" s="22">
        <f>'[1]All yrs FM combined data'!$L199</f>
        <v>1404</v>
      </c>
    </row>
    <row r="11" spans="1:27" ht="14.45" customHeight="1">
      <c r="A11" s="28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>
        <v>65</v>
      </c>
      <c r="V11" s="3">
        <v>77</v>
      </c>
      <c r="W11" s="3">
        <v>94</v>
      </c>
      <c r="X11" s="3">
        <v>70</v>
      </c>
      <c r="Y11" s="4">
        <f>'[1]All yrs FM combined data'!M197</f>
        <v>44</v>
      </c>
      <c r="Z11" s="4">
        <f>'[1]All yrs FM combined data'!$M198</f>
        <v>52</v>
      </c>
      <c r="AA11" s="22">
        <f>'[1]All yrs FM combined data'!$M199</f>
        <v>54</v>
      </c>
    </row>
    <row r="12" spans="1:27" ht="14.45" customHeight="1">
      <c r="A12" s="28" t="s">
        <v>8</v>
      </c>
      <c r="B12" s="3">
        <v>17</v>
      </c>
      <c r="C12" s="3">
        <v>267</v>
      </c>
      <c r="D12" s="3">
        <v>271</v>
      </c>
      <c r="E12" s="3">
        <v>251</v>
      </c>
      <c r="F12" s="3">
        <v>280</v>
      </c>
      <c r="G12" s="3">
        <v>311</v>
      </c>
      <c r="H12" s="3">
        <v>336</v>
      </c>
      <c r="I12" s="3">
        <v>397</v>
      </c>
      <c r="J12" s="3">
        <v>420</v>
      </c>
      <c r="K12" s="3">
        <v>440</v>
      </c>
      <c r="L12" s="3">
        <v>504</v>
      </c>
      <c r="M12" s="3">
        <v>518</v>
      </c>
      <c r="N12" s="3">
        <v>694</v>
      </c>
      <c r="O12" s="3">
        <v>724</v>
      </c>
      <c r="P12" s="3">
        <v>683</v>
      </c>
      <c r="Q12" s="3">
        <v>729</v>
      </c>
      <c r="R12" s="3">
        <v>659</v>
      </c>
      <c r="S12" s="3">
        <v>735</v>
      </c>
      <c r="T12" s="3">
        <v>746</v>
      </c>
      <c r="U12" s="3">
        <v>788</v>
      </c>
      <c r="V12" s="3">
        <v>781</v>
      </c>
      <c r="W12" s="3">
        <v>779</v>
      </c>
      <c r="X12" s="3">
        <v>793</v>
      </c>
      <c r="Y12" s="4">
        <f>'[1]All yrs FM combined data'!O197</f>
        <v>749</v>
      </c>
      <c r="Z12" s="4">
        <f>'[1]All yrs FM combined data'!$O198</f>
        <v>626</v>
      </c>
      <c r="AA12" s="22">
        <f>'[1]All yrs FM combined data'!$O199</f>
        <v>585</v>
      </c>
    </row>
    <row r="13" spans="1:27" ht="14.45" customHeight="1">
      <c r="A13" s="28" t="s">
        <v>9</v>
      </c>
      <c r="B13" s="3">
        <v>205</v>
      </c>
      <c r="C13" s="3">
        <v>330</v>
      </c>
      <c r="D13" s="3">
        <v>432</v>
      </c>
      <c r="E13" s="3">
        <v>484</v>
      </c>
      <c r="F13" s="3">
        <v>558</v>
      </c>
      <c r="G13" s="3">
        <v>577</v>
      </c>
      <c r="H13" s="3">
        <v>539</v>
      </c>
      <c r="I13" s="3">
        <v>494</v>
      </c>
      <c r="J13" s="3">
        <v>485</v>
      </c>
      <c r="K13" s="3">
        <v>400</v>
      </c>
      <c r="L13" s="3">
        <v>363</v>
      </c>
      <c r="M13" s="3">
        <v>350</v>
      </c>
      <c r="N13" s="3">
        <v>385</v>
      </c>
      <c r="O13" s="3">
        <v>337</v>
      </c>
      <c r="P13" s="3">
        <v>366</v>
      </c>
      <c r="Q13" s="3">
        <v>382</v>
      </c>
      <c r="R13" s="3">
        <v>339</v>
      </c>
      <c r="S13" s="3">
        <v>330</v>
      </c>
      <c r="T13" s="3">
        <v>369</v>
      </c>
      <c r="U13" s="3">
        <v>405</v>
      </c>
      <c r="V13" s="3">
        <v>444</v>
      </c>
      <c r="W13" s="3">
        <v>458</v>
      </c>
      <c r="X13" s="3">
        <v>562</v>
      </c>
      <c r="Y13" s="4">
        <f>'[1]All yrs FM combined data'!P197</f>
        <v>706</v>
      </c>
      <c r="Z13" s="4">
        <f>'[1]All yrs FM combined data'!$P198</f>
        <v>801</v>
      </c>
      <c r="AA13" s="22">
        <f>'[1]All yrs FM combined data'!$P199</f>
        <v>962</v>
      </c>
    </row>
    <row r="14" spans="1:27" ht="14.45" customHeight="1">
      <c r="A14" s="28" t="s">
        <v>10</v>
      </c>
      <c r="B14" s="3">
        <v>24</v>
      </c>
      <c r="C14" s="3">
        <v>27</v>
      </c>
      <c r="D14" s="3">
        <v>14</v>
      </c>
      <c r="E14" s="3">
        <v>14</v>
      </c>
      <c r="F14" s="3">
        <v>20</v>
      </c>
      <c r="G14" s="3">
        <v>7</v>
      </c>
      <c r="H14" s="3">
        <v>16</v>
      </c>
      <c r="I14" s="3">
        <v>7</v>
      </c>
      <c r="J14" s="3">
        <v>14</v>
      </c>
      <c r="K14" s="3">
        <v>21</v>
      </c>
      <c r="L14" s="3">
        <v>8</v>
      </c>
      <c r="M14" s="3">
        <v>4</v>
      </c>
      <c r="N14" s="3">
        <v>1</v>
      </c>
      <c r="O14" s="3">
        <v>2</v>
      </c>
      <c r="P14" s="3">
        <v>3</v>
      </c>
      <c r="Q14" s="3">
        <v>1</v>
      </c>
      <c r="R14" s="3">
        <v>1</v>
      </c>
      <c r="S14" s="3">
        <v>0</v>
      </c>
      <c r="T14" s="3">
        <v>1</v>
      </c>
      <c r="U14" s="3">
        <v>1</v>
      </c>
      <c r="V14" s="3">
        <v>0</v>
      </c>
      <c r="W14" s="3">
        <v>1</v>
      </c>
      <c r="X14" s="3">
        <v>1</v>
      </c>
      <c r="Y14" s="4">
        <f>'[1]All yrs FM combined data'!N197</f>
        <v>0</v>
      </c>
      <c r="Z14" s="4">
        <f>'[1]All yrs FM combined data'!$N198</f>
        <v>0</v>
      </c>
      <c r="AA14" s="22">
        <f>'[1]All yrs FM combined data'!$N199</f>
        <v>0</v>
      </c>
    </row>
    <row r="15" spans="1:27" ht="14.45" customHeight="1" thickBot="1">
      <c r="A15" s="29" t="s">
        <v>11</v>
      </c>
      <c r="B15" s="6">
        <v>733</v>
      </c>
      <c r="C15" s="6">
        <v>626</v>
      </c>
      <c r="D15" s="6">
        <v>701</v>
      </c>
      <c r="E15" s="6">
        <v>611</v>
      </c>
      <c r="F15" s="6">
        <v>490</v>
      </c>
      <c r="G15" s="6">
        <v>409</v>
      </c>
      <c r="H15" s="6">
        <v>310</v>
      </c>
      <c r="I15" s="6">
        <v>250</v>
      </c>
      <c r="J15" s="6">
        <v>226</v>
      </c>
      <c r="K15" s="6">
        <v>226</v>
      </c>
      <c r="L15" s="6">
        <v>154</v>
      </c>
      <c r="M15" s="6">
        <v>153</v>
      </c>
      <c r="N15" s="6">
        <v>124</v>
      </c>
      <c r="O15" s="6">
        <v>132</v>
      </c>
      <c r="P15" s="6">
        <v>156</v>
      </c>
      <c r="Q15" s="6">
        <v>155</v>
      </c>
      <c r="R15" s="6">
        <v>141</v>
      </c>
      <c r="S15" s="6">
        <v>119</v>
      </c>
      <c r="T15" s="6">
        <v>280</v>
      </c>
      <c r="U15" s="6">
        <v>349</v>
      </c>
      <c r="V15" s="6">
        <v>351</v>
      </c>
      <c r="W15" s="6">
        <v>465</v>
      </c>
      <c r="X15" s="6">
        <v>577</v>
      </c>
      <c r="Y15" s="7">
        <f>'[1]All yrs FM combined data'!Q197</f>
        <v>636</v>
      </c>
      <c r="Z15" s="7">
        <f>'[1]All yrs FM combined data'!$Q198</f>
        <v>805</v>
      </c>
      <c r="AA15" s="23">
        <f>'[1]All yrs FM combined data'!$Q199</f>
        <v>899</v>
      </c>
    </row>
    <row r="16" spans="1:27" ht="14.45" customHeight="1">
      <c r="A16" s="30" t="s">
        <v>12</v>
      </c>
      <c r="B16" s="8">
        <f t="shared" ref="B16:AA16" si="0">B6/B5</f>
        <v>0.76324289405684753</v>
      </c>
      <c r="C16" s="8">
        <f t="shared" si="0"/>
        <v>0.79014415018437811</v>
      </c>
      <c r="D16" s="8">
        <f t="shared" si="0"/>
        <v>0.76156462585034013</v>
      </c>
      <c r="E16" s="8">
        <f t="shared" si="0"/>
        <v>0.78814147018030511</v>
      </c>
      <c r="F16" s="8">
        <f t="shared" si="0"/>
        <v>0.82386772106398276</v>
      </c>
      <c r="G16" s="8">
        <f t="shared" si="0"/>
        <v>0.85001833516684999</v>
      </c>
      <c r="H16" s="8">
        <f t="shared" si="0"/>
        <v>0.88181471597407546</v>
      </c>
      <c r="I16" s="8">
        <f t="shared" si="0"/>
        <v>0.90580256217030897</v>
      </c>
      <c r="J16" s="8">
        <f t="shared" si="0"/>
        <v>0.91154598825831701</v>
      </c>
      <c r="K16" s="8">
        <f t="shared" si="0"/>
        <v>0.9140684410646388</v>
      </c>
      <c r="L16" s="8">
        <f t="shared" si="0"/>
        <v>0.94358974358974357</v>
      </c>
      <c r="M16" s="8">
        <f t="shared" si="0"/>
        <v>0.94464544138929085</v>
      </c>
      <c r="N16" s="8">
        <f t="shared" si="0"/>
        <v>0.95950359242325278</v>
      </c>
      <c r="O16" s="8">
        <f t="shared" si="0"/>
        <v>0.95785440613026818</v>
      </c>
      <c r="P16" s="8">
        <f t="shared" si="0"/>
        <v>0.95149253731343286</v>
      </c>
      <c r="Q16" s="8">
        <f t="shared" si="0"/>
        <v>0.9524539877300614</v>
      </c>
      <c r="R16" s="8">
        <f t="shared" si="0"/>
        <v>0.95825932504440492</v>
      </c>
      <c r="S16" s="8">
        <f t="shared" si="0"/>
        <v>0.96743295019157083</v>
      </c>
      <c r="T16" s="8">
        <f t="shared" si="0"/>
        <v>0.93217054263565891</v>
      </c>
      <c r="U16" s="8">
        <f t="shared" si="0"/>
        <v>0.92529348986125937</v>
      </c>
      <c r="V16" s="8">
        <f t="shared" si="0"/>
        <v>0.92753922378199838</v>
      </c>
      <c r="W16" s="8">
        <f t="shared" si="0"/>
        <v>0.9057750759878419</v>
      </c>
      <c r="X16" s="9">
        <f t="shared" si="0"/>
        <v>0.88701781868024276</v>
      </c>
      <c r="Y16" s="8">
        <f t="shared" si="0"/>
        <v>0.87841712865608867</v>
      </c>
      <c r="Z16" s="9">
        <f t="shared" si="0"/>
        <v>0.85034393009853138</v>
      </c>
      <c r="AA16" s="11">
        <f t="shared" si="0"/>
        <v>0.83690130624092884</v>
      </c>
    </row>
    <row r="17" spans="1:27" ht="14.45" customHeight="1">
      <c r="A17" s="31" t="s">
        <v>13</v>
      </c>
      <c r="B17" s="9">
        <f t="shared" ref="B17:AA17" si="1">B7/B5</f>
        <v>0.48966408268733852</v>
      </c>
      <c r="C17" s="9">
        <f t="shared" si="1"/>
        <v>0.47368421052631576</v>
      </c>
      <c r="D17" s="9">
        <f t="shared" si="1"/>
        <v>0.41972789115646258</v>
      </c>
      <c r="E17" s="9">
        <f t="shared" si="1"/>
        <v>0.41539528432732314</v>
      </c>
      <c r="F17" s="9">
        <f t="shared" si="1"/>
        <v>0.40690150970524802</v>
      </c>
      <c r="G17" s="9">
        <f t="shared" si="1"/>
        <v>0.41510817748441509</v>
      </c>
      <c r="H17" s="9">
        <f t="shared" si="1"/>
        <v>0.42203583682805945</v>
      </c>
      <c r="I17" s="9">
        <f t="shared" si="1"/>
        <v>0.44159758854559156</v>
      </c>
      <c r="J17" s="9">
        <f t="shared" si="1"/>
        <v>0.42387475538160468</v>
      </c>
      <c r="K17" s="9">
        <f t="shared" si="1"/>
        <v>0.45019011406844106</v>
      </c>
      <c r="L17" s="9">
        <f t="shared" si="1"/>
        <v>0.48241758241758242</v>
      </c>
      <c r="M17" s="9">
        <f t="shared" si="1"/>
        <v>0.4829956584659913</v>
      </c>
      <c r="N17" s="9">
        <f t="shared" si="1"/>
        <v>0.4487263226649249</v>
      </c>
      <c r="O17" s="9">
        <f t="shared" si="1"/>
        <v>0.45210727969348657</v>
      </c>
      <c r="P17" s="9">
        <f t="shared" si="1"/>
        <v>0.44216417910447764</v>
      </c>
      <c r="Q17" s="9">
        <f t="shared" si="1"/>
        <v>0.45429447852760735</v>
      </c>
      <c r="R17" s="9">
        <f t="shared" si="1"/>
        <v>0.45293072824156305</v>
      </c>
      <c r="S17" s="9">
        <f t="shared" si="1"/>
        <v>0.45101258894362345</v>
      </c>
      <c r="T17" s="9">
        <f t="shared" si="1"/>
        <v>0.39171511627906974</v>
      </c>
      <c r="U17" s="9">
        <f t="shared" si="1"/>
        <v>0.33233724653148344</v>
      </c>
      <c r="V17" s="9">
        <f t="shared" si="1"/>
        <v>0.33505367464905039</v>
      </c>
      <c r="W17" s="9">
        <f t="shared" si="1"/>
        <v>0.31509625126646401</v>
      </c>
      <c r="X17" s="9">
        <f t="shared" si="1"/>
        <v>0.29351869982377127</v>
      </c>
      <c r="Y17" s="9">
        <f t="shared" si="1"/>
        <v>0.29344293634104379</v>
      </c>
      <c r="Z17" s="9">
        <f t="shared" si="1"/>
        <v>0.28239449711842352</v>
      </c>
      <c r="AA17" s="12">
        <f t="shared" si="1"/>
        <v>0.27431059506531202</v>
      </c>
    </row>
    <row r="18" spans="1:27" ht="14.45" customHeight="1">
      <c r="A18" s="31" t="s">
        <v>14</v>
      </c>
      <c r="B18" s="9">
        <f t="shared" ref="B18:AA18" si="2">B8/B5</f>
        <v>2.3578811369509043E-2</v>
      </c>
      <c r="C18" s="9">
        <f t="shared" si="2"/>
        <v>1.9778746228628897E-2</v>
      </c>
      <c r="D18" s="9">
        <f t="shared" si="2"/>
        <v>1.9047619047619049E-2</v>
      </c>
      <c r="E18" s="9">
        <f t="shared" si="2"/>
        <v>1.9070735090152564E-2</v>
      </c>
      <c r="F18" s="9">
        <f t="shared" si="2"/>
        <v>2.1567217828900073E-2</v>
      </c>
      <c r="G18" s="9">
        <f t="shared" si="2"/>
        <v>2.4935826916024934E-2</v>
      </c>
      <c r="H18" s="9">
        <f t="shared" si="2"/>
        <v>3.3168128097598171E-2</v>
      </c>
      <c r="I18" s="9">
        <f t="shared" si="2"/>
        <v>2.5998492840994723E-2</v>
      </c>
      <c r="J18" s="9">
        <f t="shared" si="2"/>
        <v>3.1702544031311154E-2</v>
      </c>
      <c r="K18" s="9">
        <f t="shared" si="2"/>
        <v>3.2319391634980987E-2</v>
      </c>
      <c r="L18" s="9">
        <f t="shared" si="2"/>
        <v>3.2967032967032968E-2</v>
      </c>
      <c r="M18" s="9">
        <f t="shared" si="2"/>
        <v>2.8581765557163533E-2</v>
      </c>
      <c r="N18" s="9">
        <f t="shared" si="2"/>
        <v>3.363814500326584E-2</v>
      </c>
      <c r="O18" s="9">
        <f t="shared" si="2"/>
        <v>3.9591315453384422E-2</v>
      </c>
      <c r="P18" s="9">
        <f t="shared" si="2"/>
        <v>4.3221393034825868E-2</v>
      </c>
      <c r="Q18" s="9">
        <f t="shared" si="2"/>
        <v>3.8957055214723924E-2</v>
      </c>
      <c r="R18" s="9">
        <f t="shared" si="2"/>
        <v>3.9076376554174071E-2</v>
      </c>
      <c r="S18" s="9">
        <f t="shared" si="2"/>
        <v>3.3114395183360699E-2</v>
      </c>
      <c r="T18" s="9">
        <f t="shared" si="2"/>
        <v>3.0523255813953487E-2</v>
      </c>
      <c r="U18" s="9">
        <f t="shared" si="2"/>
        <v>2.5613660618996798E-2</v>
      </c>
      <c r="V18" s="9">
        <f t="shared" si="2"/>
        <v>2.5805119735755572E-2</v>
      </c>
      <c r="W18" s="9">
        <f t="shared" si="2"/>
        <v>1.7629179331306991E-2</v>
      </c>
      <c r="X18" s="9">
        <f t="shared" si="2"/>
        <v>1.7818680242803996E-2</v>
      </c>
      <c r="Y18" s="9">
        <f t="shared" si="2"/>
        <v>1.2999426495889888E-2</v>
      </c>
      <c r="Z18" s="9">
        <f t="shared" si="2"/>
        <v>1.6731734523145567E-2</v>
      </c>
      <c r="AA18" s="12">
        <f t="shared" si="2"/>
        <v>1.741654571843251E-2</v>
      </c>
    </row>
    <row r="19" spans="1:27" ht="14.45" customHeight="1">
      <c r="A19" s="31" t="s">
        <v>15</v>
      </c>
      <c r="B19" s="9">
        <f t="shared" ref="B19:T19" si="3">B9/B5</f>
        <v>7.7842377260981907E-2</v>
      </c>
      <c r="C19" s="9">
        <f t="shared" si="3"/>
        <v>8.9171974522292988E-2</v>
      </c>
      <c r="D19" s="9">
        <f t="shared" si="3"/>
        <v>7.8911564625850333E-2</v>
      </c>
      <c r="E19" s="9">
        <f t="shared" si="3"/>
        <v>9.3966712898751734E-2</v>
      </c>
      <c r="F19" s="9">
        <f t="shared" si="3"/>
        <v>8.6987778576563618E-2</v>
      </c>
      <c r="G19" s="9">
        <f t="shared" si="3"/>
        <v>8.1774844151081771E-2</v>
      </c>
      <c r="H19" s="9">
        <f t="shared" si="3"/>
        <v>8.6923370186808999E-2</v>
      </c>
      <c r="I19" s="9">
        <f t="shared" si="3"/>
        <v>9.9849284099472496E-2</v>
      </c>
      <c r="J19" s="9">
        <f t="shared" si="3"/>
        <v>9.6281800391389435E-2</v>
      </c>
      <c r="K19" s="9">
        <f t="shared" si="3"/>
        <v>0.10418250950570342</v>
      </c>
      <c r="L19" s="9">
        <f t="shared" si="3"/>
        <v>0.1076923076923077</v>
      </c>
      <c r="M19" s="9">
        <f t="shared" si="3"/>
        <v>0.11758321273516642</v>
      </c>
      <c r="N19" s="9">
        <f t="shared" si="3"/>
        <v>0.12442847811887656</v>
      </c>
      <c r="O19" s="9">
        <f t="shared" si="3"/>
        <v>0.12675606641123882</v>
      </c>
      <c r="P19" s="9">
        <f t="shared" si="3"/>
        <v>0.13899253731343283</v>
      </c>
      <c r="Q19" s="9">
        <f t="shared" si="3"/>
        <v>0.11809815950920245</v>
      </c>
      <c r="R19" s="9">
        <f t="shared" si="3"/>
        <v>0.17051509769094139</v>
      </c>
      <c r="S19" s="9">
        <f t="shared" si="3"/>
        <v>0.19184455391351943</v>
      </c>
      <c r="T19" s="9">
        <f t="shared" si="3"/>
        <v>0.23958333333333334</v>
      </c>
      <c r="U19" s="13"/>
      <c r="V19" s="13"/>
      <c r="W19" s="13"/>
      <c r="X19" s="13"/>
      <c r="Y19" s="13"/>
      <c r="Z19" s="13"/>
      <c r="AA19" s="14"/>
    </row>
    <row r="20" spans="1:27" ht="14.45" customHeight="1">
      <c r="A20" s="31" t="s">
        <v>16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9">
        <f t="shared" ref="U20:AA20" si="4">U10/U5</f>
        <v>0.29861259338313767</v>
      </c>
      <c r="V20" s="9">
        <f t="shared" si="4"/>
        <v>0.29789430222956237</v>
      </c>
      <c r="W20" s="9">
        <f t="shared" si="4"/>
        <v>0.30314083080040527</v>
      </c>
      <c r="X20" s="9">
        <f t="shared" si="4"/>
        <v>0.296455844918739</v>
      </c>
      <c r="Y20" s="9">
        <f t="shared" si="4"/>
        <v>0.28541387879946473</v>
      </c>
      <c r="Z20" s="9">
        <f t="shared" si="4"/>
        <v>0.27625952779327012</v>
      </c>
      <c r="AA20" s="12">
        <f t="shared" si="4"/>
        <v>0.25471698113207547</v>
      </c>
    </row>
    <row r="21" spans="1:27" ht="14.45" customHeight="1">
      <c r="A21" s="31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9">
        <f t="shared" ref="U21:AA21" si="5">U11/U5</f>
        <v>1.3874066168623266E-2</v>
      </c>
      <c r="V21" s="9">
        <f t="shared" si="5"/>
        <v>1.5895953757225433E-2</v>
      </c>
      <c r="W21" s="9">
        <f t="shared" si="5"/>
        <v>1.9047619047619049E-2</v>
      </c>
      <c r="X21" s="9">
        <f t="shared" si="5"/>
        <v>1.3706677109849227E-2</v>
      </c>
      <c r="Y21" s="9">
        <f t="shared" si="5"/>
        <v>8.4113936149875744E-3</v>
      </c>
      <c r="Z21" s="9">
        <f t="shared" si="5"/>
        <v>9.6672243911507718E-3</v>
      </c>
      <c r="AA21" s="12">
        <f t="shared" si="5"/>
        <v>9.7968069666182871E-3</v>
      </c>
    </row>
    <row r="22" spans="1:27" ht="14.45" customHeight="1">
      <c r="A22" s="31" t="s">
        <v>18</v>
      </c>
      <c r="B22" s="9">
        <f t="shared" ref="B22:AA22" si="6">B12/B5</f>
        <v>5.4909560723514208E-3</v>
      </c>
      <c r="C22" s="9">
        <f t="shared" si="6"/>
        <v>8.9507207509218908E-2</v>
      </c>
      <c r="D22" s="9">
        <f t="shared" si="6"/>
        <v>9.2176870748299319E-2</v>
      </c>
      <c r="E22" s="9">
        <f t="shared" si="6"/>
        <v>8.7031900138696258E-2</v>
      </c>
      <c r="F22" s="9">
        <f t="shared" si="6"/>
        <v>0.100647016534867</v>
      </c>
      <c r="G22" s="9">
        <f t="shared" si="6"/>
        <v>0.11404473780711405</v>
      </c>
      <c r="H22" s="9">
        <f t="shared" si="6"/>
        <v>0.1280975981700343</v>
      </c>
      <c r="I22" s="9">
        <f t="shared" si="6"/>
        <v>0.14958553127354937</v>
      </c>
      <c r="J22" s="9">
        <f t="shared" si="6"/>
        <v>0.16438356164383561</v>
      </c>
      <c r="K22" s="9">
        <f t="shared" si="6"/>
        <v>0.16730038022813687</v>
      </c>
      <c r="L22" s="9">
        <f t="shared" si="6"/>
        <v>0.18461538461538463</v>
      </c>
      <c r="M22" s="9">
        <f t="shared" si="6"/>
        <v>0.1874095513748191</v>
      </c>
      <c r="N22" s="9">
        <f t="shared" si="6"/>
        <v>0.22664924885695623</v>
      </c>
      <c r="O22" s="9">
        <f t="shared" si="6"/>
        <v>0.23116219667943805</v>
      </c>
      <c r="P22" s="9">
        <f t="shared" si="6"/>
        <v>0.21237562189054726</v>
      </c>
      <c r="Q22" s="9">
        <f t="shared" si="6"/>
        <v>0.2236196319018405</v>
      </c>
      <c r="R22" s="9">
        <f t="shared" si="6"/>
        <v>0.1950858496151569</v>
      </c>
      <c r="S22" s="9">
        <f t="shared" si="6"/>
        <v>0.20114942528735633</v>
      </c>
      <c r="T22" s="9">
        <f t="shared" si="6"/>
        <v>0.18071705426356588</v>
      </c>
      <c r="U22" s="9">
        <f t="shared" si="6"/>
        <v>0.16819637139807897</v>
      </c>
      <c r="V22" s="9">
        <f t="shared" si="6"/>
        <v>0.16123038810900084</v>
      </c>
      <c r="W22" s="9">
        <f t="shared" si="6"/>
        <v>0.15785207700101317</v>
      </c>
      <c r="X22" s="9">
        <f t="shared" si="6"/>
        <v>0.15527707068729196</v>
      </c>
      <c r="Y22" s="9">
        <f t="shared" si="6"/>
        <v>0.14318485949149301</v>
      </c>
      <c r="Z22" s="9">
        <f t="shared" si="6"/>
        <v>0.11637850901654583</v>
      </c>
      <c r="AA22" s="12">
        <f t="shared" si="6"/>
        <v>0.10613207547169812</v>
      </c>
    </row>
    <row r="23" spans="1:27" ht="14.45" customHeight="1">
      <c r="A23" s="31" t="s">
        <v>19</v>
      </c>
      <c r="B23" s="9">
        <f t="shared" ref="B23:AA24" si="7">B13/B5</f>
        <v>6.6214470284237728E-2</v>
      </c>
      <c r="C23" s="9">
        <f t="shared" si="7"/>
        <v>0.11062688568555146</v>
      </c>
      <c r="D23" s="9">
        <f t="shared" si="7"/>
        <v>0.14693877551020409</v>
      </c>
      <c r="E23" s="9">
        <f t="shared" si="7"/>
        <v>0.16782246879334259</v>
      </c>
      <c r="F23" s="9">
        <f t="shared" si="7"/>
        <v>0.20057512580877068</v>
      </c>
      <c r="G23" s="9">
        <f t="shared" si="7"/>
        <v>0.21158782544921159</v>
      </c>
      <c r="H23" s="9">
        <f t="shared" si="7"/>
        <v>0.20548989706443005</v>
      </c>
      <c r="I23" s="9">
        <f t="shared" si="7"/>
        <v>0.18613413715146948</v>
      </c>
      <c r="J23" s="9">
        <f t="shared" si="7"/>
        <v>0.18982387475538159</v>
      </c>
      <c r="K23" s="9">
        <f t="shared" si="7"/>
        <v>0.15209125475285171</v>
      </c>
      <c r="L23" s="9">
        <f t="shared" si="7"/>
        <v>0.13296703296703297</v>
      </c>
      <c r="M23" s="9">
        <f t="shared" si="7"/>
        <v>0.12662807525325614</v>
      </c>
      <c r="N23" s="9">
        <f t="shared" si="7"/>
        <v>0.12573481384715873</v>
      </c>
      <c r="O23" s="9">
        <f t="shared" si="7"/>
        <v>0.10759897828863346</v>
      </c>
      <c r="P23" s="9">
        <f t="shared" si="7"/>
        <v>0.11380597014925373</v>
      </c>
      <c r="Q23" s="9">
        <f t="shared" si="7"/>
        <v>0.11717791411042945</v>
      </c>
      <c r="R23" s="9">
        <f t="shared" si="7"/>
        <v>0.10035523978685613</v>
      </c>
      <c r="S23" s="9">
        <f t="shared" si="7"/>
        <v>9.0311986863711002E-2</v>
      </c>
      <c r="T23" s="9">
        <f t="shared" si="7"/>
        <v>8.9389534883720936E-2</v>
      </c>
      <c r="U23" s="9">
        <f t="shared" si="7"/>
        <v>8.6446104589114198E-2</v>
      </c>
      <c r="V23" s="9">
        <f t="shared" si="7"/>
        <v>9.1659785301403798E-2</v>
      </c>
      <c r="W23" s="9">
        <f t="shared" si="7"/>
        <v>9.2806484295845995E-2</v>
      </c>
      <c r="X23" s="9">
        <f t="shared" si="7"/>
        <v>0.11004503622478951</v>
      </c>
      <c r="Y23" s="9">
        <f t="shared" si="7"/>
        <v>0.1349646339132097</v>
      </c>
      <c r="Z23" s="9">
        <f t="shared" si="7"/>
        <v>0.14891243725599554</v>
      </c>
      <c r="AA23" s="12">
        <f t="shared" si="7"/>
        <v>0.17452830188679244</v>
      </c>
    </row>
    <row r="24" spans="1:27" ht="14.45" customHeight="1" thickBot="1">
      <c r="A24" s="32" t="s">
        <v>20</v>
      </c>
      <c r="B24" s="15">
        <v>7.7519379844961239E-3</v>
      </c>
      <c r="C24" s="15">
        <v>9.0512906469996639E-3</v>
      </c>
      <c r="D24" s="15">
        <v>4.7619047619047623E-3</v>
      </c>
      <c r="E24" s="15">
        <v>4.8543689320388345E-3</v>
      </c>
      <c r="F24" s="15">
        <v>7.1890726096333572E-3</v>
      </c>
      <c r="G24" s="15">
        <v>2.5669233590025669E-3</v>
      </c>
      <c r="H24" s="15">
        <f>H14/H5</f>
        <v>6.0998856271444911E-3</v>
      </c>
      <c r="I24" s="15">
        <v>2.6375282592313487E-3</v>
      </c>
      <c r="J24" s="15">
        <f>J14/J5</f>
        <v>5.4794520547945206E-3</v>
      </c>
      <c r="K24" s="15">
        <v>7.9847908745247151E-3</v>
      </c>
      <c r="L24" s="15">
        <v>2.9304029304029304E-3</v>
      </c>
      <c r="M24" s="15">
        <v>1.4471780028943559E-3</v>
      </c>
      <c r="N24" s="15">
        <v>3.2658393207054214E-4</v>
      </c>
      <c r="O24" s="15">
        <v>6.3856960408684551E-4</v>
      </c>
      <c r="P24" s="15">
        <v>9.3283582089552237E-4</v>
      </c>
      <c r="Q24" s="15">
        <v>3.0674846625766873E-4</v>
      </c>
      <c r="R24" s="15">
        <v>2.9603315571343988E-4</v>
      </c>
      <c r="S24" s="15">
        <v>0</v>
      </c>
      <c r="T24" s="15">
        <v>2.4224806201550387E-4</v>
      </c>
      <c r="U24" s="15">
        <v>1.4087513340448238E-2</v>
      </c>
      <c r="V24" s="16">
        <f t="shared" si="7"/>
        <v>0</v>
      </c>
      <c r="W24" s="16">
        <f t="shared" si="7"/>
        <v>2.2371364653243848E-4</v>
      </c>
      <c r="X24" s="16">
        <f t="shared" si="7"/>
        <v>2.2075055187637969E-4</v>
      </c>
      <c r="Y24" s="16">
        <f t="shared" si="7"/>
        <v>0</v>
      </c>
      <c r="Z24" s="16">
        <f t="shared" si="7"/>
        <v>0</v>
      </c>
      <c r="AA24" s="17">
        <f>AA14/AA6</f>
        <v>0</v>
      </c>
    </row>
    <row r="25" spans="1:27" ht="14.45" customHeight="1">
      <c r="A25" s="33" t="s">
        <v>21</v>
      </c>
      <c r="B25" s="8">
        <v>0.11</v>
      </c>
      <c r="C25" s="8">
        <v>0.10199999999999999</v>
      </c>
      <c r="D25" s="8">
        <v>8.8999999999999996E-2</v>
      </c>
      <c r="E25" s="8">
        <v>8.6999999999999994E-2</v>
      </c>
      <c r="F25" s="8">
        <v>8.2040875489201331E-2</v>
      </c>
      <c r="G25" s="8">
        <v>8.0517817767977812E-2</v>
      </c>
      <c r="H25" s="8">
        <v>7.7952256883318083E-2</v>
      </c>
      <c r="I25" s="8">
        <v>8.1621282819137816E-2</v>
      </c>
      <c r="J25" s="8">
        <v>7.4351228889194015E-2</v>
      </c>
      <c r="K25" s="8">
        <v>7.8975453575240134E-2</v>
      </c>
      <c r="L25" s="8">
        <v>8.4488067744418791E-2</v>
      </c>
      <c r="M25" s="8">
        <v>8.496690427698575E-2</v>
      </c>
      <c r="N25" s="8">
        <v>8.3831604636973769E-2</v>
      </c>
      <c r="O25" s="8">
        <v>8.6346728459052377E-2</v>
      </c>
      <c r="P25" s="8">
        <v>8.398299078667612E-2</v>
      </c>
      <c r="Q25" s="8">
        <v>8.6826522835199621E-2</v>
      </c>
      <c r="R25" s="8">
        <v>8.7528604118993131E-2</v>
      </c>
      <c r="S25" s="8">
        <v>9.2897406989853437E-2</v>
      </c>
      <c r="T25" s="8">
        <f>T7/17763</f>
        <v>9.1031920283735857E-2</v>
      </c>
      <c r="U25" s="8">
        <f>U7/'[1]Data Totals'!E39</f>
        <v>8.5984095427435389E-2</v>
      </c>
      <c r="V25" s="8">
        <f>V7/'[1]Data Totals'!E40</f>
        <v>8.8039056143205854E-2</v>
      </c>
      <c r="W25" s="8">
        <f>W7/'[1]Data Totals'!E41</f>
        <v>8.4117710699989176E-2</v>
      </c>
      <c r="X25" s="9">
        <f>X7/'[1]Data Totals'!E42</f>
        <v>8.103578765271921E-2</v>
      </c>
      <c r="Y25" s="8">
        <f>Y7/'[1]Data Totals'!E43</f>
        <v>8.3130246412131056E-2</v>
      </c>
      <c r="Z25" s="8">
        <f>Z7/'[1]Data Totals'!$E44</f>
        <v>7.9762654904431837E-2</v>
      </c>
      <c r="AA25" s="10">
        <f>AA7/'[1]Data Totals'!$E45</f>
        <v>7.7272959574794298E-2</v>
      </c>
    </row>
    <row r="26" spans="1:27" ht="14.45" customHeight="1">
      <c r="A26" s="34" t="s">
        <v>22</v>
      </c>
      <c r="B26" s="9">
        <f>B8/471</f>
        <v>0.15498938428874734</v>
      </c>
      <c r="C26" s="9">
        <f>C8/454</f>
        <v>0.12995594713656389</v>
      </c>
      <c r="D26" s="9">
        <f>D8/448</f>
        <v>0.125</v>
      </c>
      <c r="E26" s="9">
        <f>E8/508</f>
        <v>0.10826771653543307</v>
      </c>
      <c r="F26" s="9">
        <f>F8/567</f>
        <v>0.10582010582010581</v>
      </c>
      <c r="G26" s="9">
        <f>G8/543</f>
        <v>0.12523020257826889</v>
      </c>
      <c r="H26" s="9">
        <f>H8/574</f>
        <v>0.15156794425087108</v>
      </c>
      <c r="I26" s="9">
        <f>I8/521</f>
        <v>0.1324376199616123</v>
      </c>
      <c r="J26" s="9">
        <f>J8/545</f>
        <v>0.14862385321100918</v>
      </c>
      <c r="K26" s="9">
        <f>K8/609</f>
        <v>0.13957307060755336</v>
      </c>
      <c r="L26" s="9">
        <f>L8/600</f>
        <v>0.15</v>
      </c>
      <c r="M26" s="9">
        <f>M8/560</f>
        <v>0.14107142857142857</v>
      </c>
      <c r="N26" s="9">
        <f>N8/729</f>
        <v>0.1412894375857339</v>
      </c>
      <c r="O26" s="9">
        <f>O8/798</f>
        <v>0.15538847117794485</v>
      </c>
      <c r="P26" s="9">
        <f>P8/662</f>
        <v>0.20996978851963746</v>
      </c>
      <c r="Q26" s="9">
        <f>Q8/732</f>
        <v>0.17349726775956284</v>
      </c>
      <c r="R26" s="9">
        <f>R8/677</f>
        <v>0.19497784342688332</v>
      </c>
      <c r="S26" s="9">
        <f>S8/662</f>
        <v>0.18277945619335348</v>
      </c>
      <c r="T26" s="9">
        <f>T8/674</f>
        <v>0.18694362017804153</v>
      </c>
      <c r="U26" s="9">
        <f>U8/693</f>
        <v>0.17316017316017315</v>
      </c>
      <c r="V26" s="9">
        <f>V8/'[1]Data Totals'!F40</f>
        <v>0.15508684863523572</v>
      </c>
      <c r="W26" s="9">
        <f>W8/'[1]Data Totals'!F41</f>
        <v>0.10128055878928988</v>
      </c>
      <c r="X26" s="9">
        <f>X8/'[1]Data Totals'!F42</f>
        <v>0.11518987341772152</v>
      </c>
      <c r="Y26" s="9">
        <f>Y8/'[1]Data Totals'!F43</f>
        <v>8.9473684210526316E-2</v>
      </c>
      <c r="Z26" s="9">
        <f>Z8/'[1]Data Totals'!$F44</f>
        <v>0.11207970112079702</v>
      </c>
      <c r="AA26" s="12">
        <f>AA8/'[1]Data Totals'!$F45</f>
        <v>0.11214953271028037</v>
      </c>
    </row>
    <row r="27" spans="1:27" ht="14.45" customHeight="1">
      <c r="A27" s="34" t="s">
        <v>23</v>
      </c>
      <c r="B27" s="9">
        <f>B9/876</f>
        <v>0.27511415525114158</v>
      </c>
      <c r="C27" s="9">
        <f>C9/933</f>
        <v>0.28510182207931406</v>
      </c>
      <c r="D27" s="9">
        <f>D9/995</f>
        <v>0.23316582914572864</v>
      </c>
      <c r="E27" s="9">
        <f>E9/1099</f>
        <v>0.24658780709736125</v>
      </c>
      <c r="F27" s="9">
        <f>F9/1045</f>
        <v>0.23157894736842105</v>
      </c>
      <c r="G27" s="9">
        <f>G9/1024</f>
        <v>0.2177734375</v>
      </c>
      <c r="H27" s="9">
        <f>H9/1136</f>
        <v>0.20070422535211269</v>
      </c>
      <c r="I27" s="9">
        <f>I9/1339</f>
        <v>0.19790888722927558</v>
      </c>
      <c r="J27" s="9">
        <f>J9/1408</f>
        <v>0.17471590909090909</v>
      </c>
      <c r="K27" s="9">
        <f>K9/1444</f>
        <v>0.18975069252077562</v>
      </c>
      <c r="L27" s="9">
        <f>L9/1561</f>
        <v>0.18834080717488788</v>
      </c>
      <c r="M27" s="9">
        <f>M9/1764</f>
        <v>0.18424036281179137</v>
      </c>
      <c r="N27" s="9">
        <f>N9/2019</f>
        <v>0.18870728083209509</v>
      </c>
      <c r="O27" s="9">
        <f>O9/2127</f>
        <v>0.18664786083685941</v>
      </c>
      <c r="P27" s="9">
        <f>P9/2339</f>
        <v>0.1911073108165883</v>
      </c>
      <c r="Q27" s="9">
        <f>Q9/2396</f>
        <v>0.16068447412353923</v>
      </c>
      <c r="R27" s="9">
        <f>R9/2933</f>
        <v>0.19638595294919878</v>
      </c>
      <c r="S27" s="9">
        <f>S9/3771</f>
        <v>0.18589233625033147</v>
      </c>
      <c r="T27" s="9">
        <f>T9/5076</f>
        <v>0.19483845547675335</v>
      </c>
      <c r="U27" s="13"/>
      <c r="V27" s="13"/>
      <c r="W27" s="13"/>
      <c r="X27" s="13"/>
      <c r="Y27" s="13"/>
      <c r="Z27" s="13"/>
      <c r="AA27" s="14"/>
    </row>
    <row r="28" spans="1:27" ht="14.45" customHeight="1">
      <c r="A28" s="34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9">
        <f>U10/5968</f>
        <v>0.23441689008042896</v>
      </c>
      <c r="V28" s="9">
        <f>V10/'[1]Data Totals'!G40</f>
        <v>0.22807017543859648</v>
      </c>
      <c r="W28" s="9">
        <f>W10/'[1]Data Totals'!G41</f>
        <v>0.22442244224422442</v>
      </c>
      <c r="X28" s="9">
        <f>X10/'[1]Data Totals'!G42</f>
        <v>0.22225484439224896</v>
      </c>
      <c r="Y28" s="9">
        <f>Y10/'[1]Data Totals'!G43</f>
        <v>0.20143011332973557</v>
      </c>
      <c r="Z28" s="9">
        <f>Z10/'[1]Data Totals'!$G44</f>
        <v>0.19117457866975429</v>
      </c>
      <c r="AA28" s="12">
        <f>AA10/'[1]Data Totals'!$G45</f>
        <v>0.17709384460141273</v>
      </c>
    </row>
    <row r="29" spans="1:27" ht="14.45" customHeight="1">
      <c r="A29" s="34" t="s">
        <v>25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9">
        <f>U11/247</f>
        <v>0.26315789473684209</v>
      </c>
      <c r="V29" s="9">
        <f>V11/'[1]Data Totals'!H40</f>
        <v>0.28518518518518521</v>
      </c>
      <c r="W29" s="9">
        <f>W11/'[1]Data Totals'!H41</f>
        <v>0.24543080939947781</v>
      </c>
      <c r="X29" s="9">
        <f>X11/'[1]Data Totals'!H42</f>
        <v>0.21875</v>
      </c>
      <c r="Y29" s="9">
        <f>Y11/'[1]Data Totals'!H43</f>
        <v>0.15017064846416384</v>
      </c>
      <c r="Z29" s="9">
        <f>Z11/'[1]Data Totals'!$H44</f>
        <v>0.18840579710144928</v>
      </c>
      <c r="AA29" s="12">
        <f>AA11/'[1]Data Totals'!$H45</f>
        <v>0.16981132075471697</v>
      </c>
    </row>
    <row r="30" spans="1:27" ht="14.45" customHeight="1">
      <c r="A30" s="34" t="s">
        <v>26</v>
      </c>
      <c r="B30" s="9">
        <f>B12/1048</f>
        <v>1.6221374045801526E-2</v>
      </c>
      <c r="C30" s="9">
        <f>C12/1092</f>
        <v>0.2445054945054945</v>
      </c>
      <c r="D30" s="9">
        <f>D12/1085</f>
        <v>0.24976958525345622</v>
      </c>
      <c r="E30" s="9">
        <f>E12/1117</f>
        <v>0.22470904207699194</v>
      </c>
      <c r="F30" s="9">
        <f>F12/1143</f>
        <v>0.24496937882764655</v>
      </c>
      <c r="G30" s="9">
        <f>G12/1231</f>
        <v>0.25264012997562957</v>
      </c>
      <c r="H30" s="9">
        <f>H12/1347</f>
        <v>0.24944320712694878</v>
      </c>
      <c r="I30" s="9">
        <f>I12/1541</f>
        <v>0.25762491888384165</v>
      </c>
      <c r="J30" s="9">
        <f>J12/1619</f>
        <v>0.25941939468807906</v>
      </c>
      <c r="K30" s="9">
        <f>K12/1749</f>
        <v>0.25157232704402516</v>
      </c>
      <c r="L30" s="9">
        <f>L12/1884</f>
        <v>0.26751592356687898</v>
      </c>
      <c r="M30" s="9">
        <f>M12/2102</f>
        <v>0.24643196955280686</v>
      </c>
      <c r="N30" s="9">
        <f>N12/2706</f>
        <v>0.25646711012564671</v>
      </c>
      <c r="O30" s="9">
        <f>O12/2722</f>
        <v>0.26598089639970612</v>
      </c>
      <c r="P30" s="9">
        <f>P12/2660</f>
        <v>0.25676691729323309</v>
      </c>
      <c r="Q30" s="9">
        <f>Q12/2859</f>
        <v>0.25498426023084997</v>
      </c>
      <c r="R30" s="9">
        <f>R12/2777</f>
        <v>0.23730644580482535</v>
      </c>
      <c r="S30" s="9">
        <f>S12/2900</f>
        <v>0.25344827586206897</v>
      </c>
      <c r="T30" s="9">
        <f>T12/2997</f>
        <v>0.24891558224891558</v>
      </c>
      <c r="U30" s="9">
        <f>U12/3154</f>
        <v>0.24984147114774888</v>
      </c>
      <c r="V30" s="9">
        <f>V12/'[1]Data Totals'!J40</f>
        <v>0.24777918781725888</v>
      </c>
      <c r="W30" s="9">
        <f>W12/'[1]Data Totals'!J41</f>
        <v>0.25137141013230074</v>
      </c>
      <c r="X30" s="9">
        <f>X12/'[1]Data Totals'!J42</f>
        <v>0.2362932061978546</v>
      </c>
      <c r="Y30" s="9">
        <f>Y12/'[1]Data Totals'!J43</f>
        <v>0.23546054699779945</v>
      </c>
      <c r="Z30" s="9">
        <f>Z12/'[1]Data Totals'!$J44</f>
        <v>0.20141570141570142</v>
      </c>
      <c r="AA30" s="12">
        <f>AA12/'[1]Data Totals'!$J45</f>
        <v>0.19837232960325535</v>
      </c>
    </row>
    <row r="31" spans="1:27" ht="14.45" customHeight="1">
      <c r="A31" s="34" t="s">
        <v>27</v>
      </c>
      <c r="B31" s="9">
        <f>B13/2294</f>
        <v>8.9363557105492583E-2</v>
      </c>
      <c r="C31" s="9">
        <f>C13/2335</f>
        <v>0.14132762312633834</v>
      </c>
      <c r="D31" s="9">
        <f>D13/2799</f>
        <v>0.15434083601286175</v>
      </c>
      <c r="E31" s="9">
        <f>E13/2970</f>
        <v>0.16296296296296298</v>
      </c>
      <c r="F31" s="9">
        <f>F13/3087</f>
        <v>0.18075801749271136</v>
      </c>
      <c r="G31" s="9">
        <f>G13/3087</f>
        <v>0.18691286038224814</v>
      </c>
      <c r="H31" s="9">
        <f>H13/3180</f>
        <v>0.16949685534591194</v>
      </c>
      <c r="I31" s="9">
        <f>I13/3108</f>
        <v>0.15894465894465895</v>
      </c>
      <c r="J31" s="9">
        <f>J13/3112</f>
        <v>0.15584832904884319</v>
      </c>
      <c r="K31" s="9">
        <f>K13/2881</f>
        <v>0.13884068031933355</v>
      </c>
      <c r="L31" s="9">
        <f>L13/2721</f>
        <v>0.13340683572216097</v>
      </c>
      <c r="M31" s="9">
        <f>M13/2775</f>
        <v>0.12612612612612611</v>
      </c>
      <c r="N31" s="9">
        <f>N13/3601</f>
        <v>0.10691474590391557</v>
      </c>
      <c r="O31" s="9">
        <f>O13/3633</f>
        <v>9.2760803743462697E-2</v>
      </c>
      <c r="P31" s="9">
        <f>P13/3641</f>
        <v>0.10052183466080747</v>
      </c>
      <c r="Q31" s="9">
        <f>Q13/3769</f>
        <v>0.1013531440700451</v>
      </c>
      <c r="R31" s="9">
        <f>R13/3814</f>
        <v>8.8883062401678023E-2</v>
      </c>
      <c r="S31" s="9">
        <f>S13/3962</f>
        <v>8.3291267036850081E-2</v>
      </c>
      <c r="T31" s="9">
        <f>T13/4028</f>
        <v>9.1608738828202585E-2</v>
      </c>
      <c r="U31" s="9">
        <f>U13/4222</f>
        <v>9.5926101373756512E-2</v>
      </c>
      <c r="V31" s="9">
        <f>V13/'[1]Data Totals'!K40</f>
        <v>0.10192837465564739</v>
      </c>
      <c r="W31" s="9">
        <f>W13/'[1]Data Totals'!K41</f>
        <v>0.10019689345876176</v>
      </c>
      <c r="X31" s="9">
        <f>X13/'[1]Data Totals'!K42</f>
        <v>0.1116852146263911</v>
      </c>
      <c r="Y31" s="9">
        <f>Y13/'[1]Data Totals'!K43</f>
        <v>0.1203956343792633</v>
      </c>
      <c r="Z31" s="9">
        <f>Z13/'[1]Data Totals'!$K44</f>
        <v>0.1203968134676086</v>
      </c>
      <c r="AA31" s="18">
        <f>AA13/'[1]Data Totals'!$K45</f>
        <v>0.14287836031486706</v>
      </c>
    </row>
    <row r="32" spans="1:27" ht="14.45" customHeight="1" thickBot="1">
      <c r="A32" s="35" t="s">
        <v>28</v>
      </c>
      <c r="B32" s="15">
        <f>24/123</f>
        <v>0.1951219512195122</v>
      </c>
      <c r="C32" s="15">
        <f>27/144</f>
        <v>0.1875</v>
      </c>
      <c r="D32" s="15">
        <f>14/115</f>
        <v>0.12173913043478261</v>
      </c>
      <c r="E32" s="15">
        <f>14/126</f>
        <v>0.1111111111111111</v>
      </c>
      <c r="F32" s="15">
        <f>20/120</f>
        <v>0.16666666666666666</v>
      </c>
      <c r="G32" s="15">
        <f>7/64</f>
        <v>0.109375</v>
      </c>
      <c r="H32" s="15">
        <f>16/76</f>
        <v>0.21052631578947367</v>
      </c>
      <c r="I32" s="15">
        <f>7/72</f>
        <v>9.7222222222222224E-2</v>
      </c>
      <c r="J32" s="15">
        <f>14/90</f>
        <v>0.15555555555555556</v>
      </c>
      <c r="K32" s="15">
        <f>21/74</f>
        <v>0.28378378378378377</v>
      </c>
      <c r="L32" s="15">
        <f>8/32</f>
        <v>0.25</v>
      </c>
      <c r="M32" s="15">
        <f>4/21</f>
        <v>0.19047619047619047</v>
      </c>
      <c r="N32" s="15">
        <f>1/18</f>
        <v>5.5555555555555552E-2</v>
      </c>
      <c r="O32" s="15">
        <f>2/8</f>
        <v>0.25</v>
      </c>
      <c r="P32" s="15">
        <f>3/18</f>
        <v>0.16666666666666666</v>
      </c>
      <c r="Q32" s="15">
        <f>1/13</f>
        <v>7.6923076923076927E-2</v>
      </c>
      <c r="R32" s="15">
        <f>1/7</f>
        <v>0.14285714285714285</v>
      </c>
      <c r="S32" s="15">
        <v>0</v>
      </c>
      <c r="T32" s="15">
        <f>1/12</f>
        <v>8.3333333333333329E-2</v>
      </c>
      <c r="U32" s="15">
        <f>1/7</f>
        <v>0.14285714285714285</v>
      </c>
      <c r="V32" s="15">
        <f>V14/'[1]Data Totals'!I40</f>
        <v>0</v>
      </c>
      <c r="W32" s="15">
        <f>W14/'[1]Data Totals'!I41</f>
        <v>9.0909090909090912E-2</v>
      </c>
      <c r="X32" s="15">
        <f>X14/'[1]Data Totals'!I42</f>
        <v>7.1428571428571425E-2</v>
      </c>
      <c r="Y32" s="15">
        <f>Y14/'[1]Data Totals'!I43</f>
        <v>0</v>
      </c>
      <c r="Z32" s="15">
        <f>Z14/'[1]Data Totals'!$I44</f>
        <v>0</v>
      </c>
      <c r="AA32" s="19">
        <f>AA14/'[1]Data Totals'!$I45</f>
        <v>0</v>
      </c>
    </row>
  </sheetData>
  <mergeCells count="1">
    <mergeCell ref="A2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Academy of Family Physicians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Bradley</dc:creator>
  <cp:keywords/>
  <dc:description/>
  <cp:lastModifiedBy/>
  <cp:revision/>
  <dcterms:created xsi:type="dcterms:W3CDTF">2026-03-23T13:43:09Z</dcterms:created>
  <dcterms:modified xsi:type="dcterms:W3CDTF">2026-03-23T13:54:26Z</dcterms:modified>
  <cp:category/>
  <cp:contentStatus/>
</cp:coreProperties>
</file>